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952"/>
  </bookViews>
  <sheets>
    <sheet name="頁付" sheetId="1" r:id="rId1"/>
  </sheets>
  <definedNames>
    <definedName name="_xlnm.Print_Area" localSheetId="0">頁付!$A$1:$W$29</definedName>
  </definedNames>
  <calcPr calcId="162913"/>
</workbook>
</file>

<file path=xl/calcChain.xml><?xml version="1.0" encoding="utf-8"?>
<calcChain xmlns="http://schemas.openxmlformats.org/spreadsheetml/2006/main">
  <c r="U24" i="1" l="1"/>
  <c r="U23" i="1"/>
  <c r="W23" i="1"/>
  <c r="U22" i="1"/>
  <c r="U21" i="1"/>
  <c r="U6" i="1"/>
  <c r="W6" i="1"/>
  <c r="U20" i="1"/>
  <c r="U19" i="1"/>
  <c r="W19" i="1"/>
  <c r="U18" i="1"/>
  <c r="W18" i="1"/>
  <c r="V25" i="1"/>
  <c r="V24" i="1"/>
  <c r="V23" i="1"/>
  <c r="V21" i="1"/>
  <c r="V20" i="1"/>
  <c r="V19" i="1"/>
  <c r="V18" i="1"/>
  <c r="V7" i="1"/>
  <c r="V16" i="1"/>
  <c r="V15" i="1"/>
  <c r="W7" i="1"/>
  <c r="U16" i="1"/>
  <c r="U17" i="1"/>
  <c r="U15" i="1"/>
  <c r="U8" i="1"/>
  <c r="W8" i="1"/>
  <c r="U7" i="1"/>
  <c r="T24" i="1"/>
  <c r="T23" i="1"/>
  <c r="T22" i="1"/>
  <c r="T21" i="1"/>
  <c r="T20" i="1"/>
  <c r="W20" i="1"/>
  <c r="T19" i="1"/>
  <c r="T18" i="1"/>
  <c r="T16" i="1"/>
  <c r="T11" i="1"/>
  <c r="T7" i="1"/>
  <c r="V11" i="1"/>
  <c r="U11" i="1"/>
  <c r="U13" i="1"/>
  <c r="U9" i="1"/>
  <c r="T8" i="1"/>
  <c r="W24" i="1"/>
  <c r="V6" i="1"/>
  <c r="W11" i="1"/>
  <c r="T6" i="1"/>
  <c r="W22" i="1"/>
  <c r="W15" i="1"/>
  <c r="W14" i="1"/>
  <c r="W13" i="1"/>
  <c r="W12" i="1"/>
  <c r="W10" i="1"/>
  <c r="W9" i="1"/>
  <c r="Q6" i="1"/>
  <c r="R6" i="1"/>
  <c r="S6" i="1"/>
  <c r="R24" i="1"/>
  <c r="R23" i="1"/>
  <c r="R22" i="1"/>
  <c r="R21" i="1"/>
  <c r="R20" i="1"/>
  <c r="R19" i="1"/>
  <c r="R18" i="1"/>
  <c r="R16" i="1"/>
  <c r="R15" i="1"/>
  <c r="R11" i="1"/>
  <c r="R9" i="1"/>
  <c r="R7" i="1"/>
  <c r="Q23" i="1"/>
  <c r="Q21" i="1"/>
  <c r="Q20" i="1"/>
  <c r="Q24" i="1"/>
  <c r="S24" i="1"/>
  <c r="Q19" i="1"/>
  <c r="Q18" i="1"/>
  <c r="Q16" i="1"/>
  <c r="Q15" i="1"/>
  <c r="Q9" i="1"/>
  <c r="Q8" i="1"/>
  <c r="Q7" i="1"/>
  <c r="R25" i="1"/>
  <c r="P25" i="1"/>
  <c r="R17" i="1"/>
  <c r="Q17" i="1"/>
  <c r="P17" i="1"/>
  <c r="S7" i="1"/>
  <c r="P6" i="1"/>
  <c r="S15" i="1"/>
  <c r="S16" i="1"/>
  <c r="S20" i="1"/>
  <c r="S18" i="1"/>
  <c r="S12" i="1"/>
  <c r="S10" i="1"/>
  <c r="S23" i="1"/>
  <c r="S22" i="1"/>
  <c r="S21" i="1"/>
  <c r="S14" i="1"/>
  <c r="S13" i="1"/>
  <c r="S8" i="1"/>
  <c r="O7" i="1"/>
  <c r="O5" i="1"/>
  <c r="M25" i="1"/>
  <c r="L25" i="1"/>
  <c r="F25" i="1"/>
  <c r="E25" i="1"/>
  <c r="D25" i="1"/>
  <c r="O24" i="1"/>
  <c r="G24" i="1"/>
  <c r="O23" i="1"/>
  <c r="G23" i="1"/>
  <c r="O22" i="1"/>
  <c r="N22" i="1"/>
  <c r="N25" i="1"/>
  <c r="G22" i="1"/>
  <c r="O21" i="1"/>
  <c r="G21" i="1"/>
  <c r="O20" i="1"/>
  <c r="G20" i="1"/>
  <c r="O19" i="1"/>
  <c r="G19" i="1"/>
  <c r="G25" i="1"/>
  <c r="O18" i="1"/>
  <c r="O25" i="1"/>
  <c r="G18" i="1"/>
  <c r="M17" i="1"/>
  <c r="M5" i="1"/>
  <c r="F17" i="1"/>
  <c r="F5" i="1"/>
  <c r="E17" i="1"/>
  <c r="G17" i="1"/>
  <c r="D17" i="1"/>
  <c r="O16" i="1"/>
  <c r="G16" i="1"/>
  <c r="N15" i="1"/>
  <c r="N17" i="1"/>
  <c r="N5" i="1"/>
  <c r="G15" i="1"/>
  <c r="O14" i="1"/>
  <c r="G14" i="1"/>
  <c r="O13" i="1"/>
  <c r="G13" i="1"/>
  <c r="O12" i="1"/>
  <c r="G12" i="1"/>
  <c r="O11" i="1"/>
  <c r="G11" i="1"/>
  <c r="O10" i="1"/>
  <c r="G10" i="1"/>
  <c r="N9" i="1"/>
  <c r="O9" i="1"/>
  <c r="G9" i="1"/>
  <c r="O8" i="1"/>
  <c r="G8" i="1"/>
  <c r="L7" i="1"/>
  <c r="L17" i="1"/>
  <c r="G7" i="1"/>
  <c r="N6" i="1"/>
  <c r="M6" i="1"/>
  <c r="L6" i="1"/>
  <c r="O6" i="1"/>
  <c r="F6" i="1"/>
  <c r="E6" i="1"/>
  <c r="D6" i="1"/>
  <c r="G6" i="1"/>
  <c r="E5" i="1"/>
  <c r="D5" i="1"/>
  <c r="G5" i="1"/>
  <c r="O17" i="1"/>
  <c r="L5" i="1"/>
  <c r="O15" i="1"/>
  <c r="S11" i="1"/>
  <c r="S9" i="1"/>
  <c r="P5" i="1"/>
  <c r="R5" i="1"/>
  <c r="Q25" i="1"/>
  <c r="Q5" i="1"/>
  <c r="S19" i="1"/>
  <c r="S25" i="1"/>
  <c r="S17" i="1"/>
  <c r="S5" i="1"/>
  <c r="T25" i="1"/>
  <c r="T5" i="1"/>
  <c r="T17" i="1"/>
  <c r="V17" i="1"/>
  <c r="V5" i="1"/>
  <c r="W16" i="1"/>
  <c r="W17" i="1"/>
  <c r="W21" i="1"/>
  <c r="W25" i="1"/>
  <c r="U25" i="1"/>
  <c r="U5" i="1"/>
  <c r="W5" i="1"/>
</calcChain>
</file>

<file path=xl/sharedStrings.xml><?xml version="1.0" encoding="utf-8"?>
<sst xmlns="http://schemas.openxmlformats.org/spreadsheetml/2006/main" count="51" uniqueCount="33">
  <si>
    <t>区　　　　　分</t>
    <rPh sb="0" eb="1">
      <t>ク</t>
    </rPh>
    <rPh sb="6" eb="7">
      <t>ブン</t>
    </rPh>
    <phoneticPr fontId="2"/>
  </si>
  <si>
    <t>計</t>
    <rPh sb="0" eb="1">
      <t>ケイ</t>
    </rPh>
    <phoneticPr fontId="2"/>
  </si>
  <si>
    <t>苦情計</t>
    <rPh sb="0" eb="2">
      <t>クジョウ</t>
    </rPh>
    <rPh sb="2" eb="3">
      <t>ケイ</t>
    </rPh>
    <phoneticPr fontId="2"/>
  </si>
  <si>
    <t>相談・照会計</t>
    <rPh sb="0" eb="2">
      <t>ソウダン</t>
    </rPh>
    <rPh sb="3" eb="5">
      <t>ショウカイ</t>
    </rPh>
    <rPh sb="5" eb="6">
      <t>ケイ</t>
    </rPh>
    <phoneticPr fontId="2"/>
  </si>
  <si>
    <t>　苦情等受付件数</t>
    <rPh sb="1" eb="4">
      <t>クジョウトウ</t>
    </rPh>
    <rPh sb="4" eb="5">
      <t>ウ</t>
    </rPh>
    <rPh sb="5" eb="6">
      <t>ツ</t>
    </rPh>
    <rPh sb="6" eb="8">
      <t>ケンスウ</t>
    </rPh>
    <phoneticPr fontId="2"/>
  </si>
  <si>
    <t>　うち無登録業者に係るもの</t>
    <rPh sb="3" eb="6">
      <t>ムトウロク</t>
    </rPh>
    <rPh sb="6" eb="8">
      <t>ギョウシャ</t>
    </rPh>
    <rPh sb="9" eb="10">
      <t>カカ</t>
    </rPh>
    <phoneticPr fontId="2"/>
  </si>
  <si>
    <t>　取立て行為</t>
    <rPh sb="1" eb="3">
      <t>トリタテ</t>
    </rPh>
    <rPh sb="4" eb="6">
      <t>コウイ</t>
    </rPh>
    <phoneticPr fontId="2"/>
  </si>
  <si>
    <t>　契約内容</t>
    <rPh sb="1" eb="3">
      <t>ケイヤク</t>
    </rPh>
    <rPh sb="3" eb="5">
      <t>ナイヨウ</t>
    </rPh>
    <phoneticPr fontId="2"/>
  </si>
  <si>
    <t>　金利</t>
    <rPh sb="1" eb="3">
      <t>キンリ</t>
    </rPh>
    <phoneticPr fontId="2"/>
  </si>
  <si>
    <t>　年金担保</t>
    <rPh sb="1" eb="3">
      <t>ネンキン</t>
    </rPh>
    <rPh sb="3" eb="5">
      <t>タンポ</t>
    </rPh>
    <phoneticPr fontId="2"/>
  </si>
  <si>
    <t>　帳簿の開示</t>
    <rPh sb="1" eb="3">
      <t>チョウボ</t>
    </rPh>
    <rPh sb="4" eb="6">
      <t>カイジ</t>
    </rPh>
    <phoneticPr fontId="2"/>
  </si>
  <si>
    <t>　行政当局詐称、登録業者詐称</t>
    <rPh sb="1" eb="3">
      <t>ギョウセイ</t>
    </rPh>
    <rPh sb="3" eb="5">
      <t>トウキョク</t>
    </rPh>
    <rPh sb="5" eb="7">
      <t>サショウ</t>
    </rPh>
    <rPh sb="8" eb="10">
      <t>トウロク</t>
    </rPh>
    <rPh sb="10" eb="12">
      <t>ギョウシャ</t>
    </rPh>
    <rPh sb="12" eb="14">
      <t>サショウ</t>
    </rPh>
    <phoneticPr fontId="2"/>
  </si>
  <si>
    <t>　保証契約</t>
    <rPh sb="1" eb="3">
      <t>ホショウ</t>
    </rPh>
    <rPh sb="3" eb="5">
      <t>ケイヤク</t>
    </rPh>
    <phoneticPr fontId="2"/>
  </si>
  <si>
    <t>　広告・勧誘（詐称以外）</t>
    <rPh sb="1" eb="3">
      <t>コウコク</t>
    </rPh>
    <rPh sb="4" eb="6">
      <t>カンユウ</t>
    </rPh>
    <rPh sb="7" eb="9">
      <t>サショウ</t>
    </rPh>
    <rPh sb="9" eb="11">
      <t>イガイ</t>
    </rPh>
    <phoneticPr fontId="2"/>
  </si>
  <si>
    <t>　その他</t>
    <rPh sb="3" eb="4">
      <t>タ</t>
    </rPh>
    <phoneticPr fontId="2"/>
  </si>
  <si>
    <t>　相談先</t>
    <rPh sb="1" eb="3">
      <t>ソウダン</t>
    </rPh>
    <rPh sb="3" eb="4">
      <t>サキ</t>
    </rPh>
    <phoneticPr fontId="2"/>
  </si>
  <si>
    <t>　制度改正要望</t>
    <rPh sb="1" eb="3">
      <t>セイド</t>
    </rPh>
    <rPh sb="3" eb="5">
      <t>カイセイ</t>
    </rPh>
    <rPh sb="5" eb="7">
      <t>ヨウボウ</t>
    </rPh>
    <phoneticPr fontId="2"/>
  </si>
  <si>
    <t>　法令等解釈</t>
    <rPh sb="1" eb="4">
      <t>ホウレイトウ</t>
    </rPh>
    <rPh sb="4" eb="6">
      <t>カイシャク</t>
    </rPh>
    <phoneticPr fontId="2"/>
  </si>
  <si>
    <t>　過剰貸付け</t>
    <rPh sb="1" eb="3">
      <t>カジョウ</t>
    </rPh>
    <rPh sb="3" eb="5">
      <t>カシツケ</t>
    </rPh>
    <phoneticPr fontId="2"/>
  </si>
  <si>
    <t>　登録確認（無登録の疑いあり）</t>
    <rPh sb="1" eb="3">
      <t>トウロク</t>
    </rPh>
    <rPh sb="3" eb="5">
      <t>カクニン</t>
    </rPh>
    <rPh sb="6" eb="9">
      <t>ムトウロク</t>
    </rPh>
    <rPh sb="10" eb="11">
      <t>ウタガ</t>
    </rPh>
    <phoneticPr fontId="2"/>
  </si>
  <si>
    <t>　債務整理等</t>
    <rPh sb="1" eb="3">
      <t>サイム</t>
    </rPh>
    <rPh sb="3" eb="5">
      <t>セイリ</t>
    </rPh>
    <rPh sb="5" eb="6">
      <t>トウ</t>
    </rPh>
    <phoneticPr fontId="2"/>
  </si>
  <si>
    <t>相談・照会の内容</t>
    <rPh sb="0" eb="2">
      <t>ソウダン</t>
    </rPh>
    <rPh sb="3" eb="5">
      <t>ショウカイ</t>
    </rPh>
    <rPh sb="6" eb="8">
      <t>ナイヨウ</t>
    </rPh>
    <phoneticPr fontId="2"/>
  </si>
  <si>
    <t>苦情の内容</t>
    <rPh sb="0" eb="2">
      <t>クジョウ</t>
    </rPh>
    <rPh sb="3" eb="5">
      <t>ナイヨウ</t>
    </rPh>
    <phoneticPr fontId="2"/>
  </si>
  <si>
    <t>金融庁</t>
    <rPh sb="0" eb="2">
      <t>キンユウ</t>
    </rPh>
    <rPh sb="2" eb="3">
      <t>チョウ</t>
    </rPh>
    <phoneticPr fontId="2"/>
  </si>
  <si>
    <t>財務局</t>
    <rPh sb="0" eb="3">
      <t>ザイムキョク</t>
    </rPh>
    <phoneticPr fontId="2"/>
  </si>
  <si>
    <t>都道府県</t>
    <rPh sb="0" eb="4">
      <t>トドウフケン</t>
    </rPh>
    <phoneticPr fontId="2"/>
  </si>
  <si>
    <t>(２）受付先別</t>
    <rPh sb="3" eb="5">
      <t>ウケツケ</t>
    </rPh>
    <rPh sb="5" eb="6">
      <t>サキ</t>
    </rPh>
    <rPh sb="6" eb="7">
      <t>ベツ</t>
    </rPh>
    <phoneticPr fontId="2"/>
  </si>
  <si>
    <t>平成30年度</t>
    <rPh sb="0" eb="2">
      <t>ヘイセイ</t>
    </rPh>
    <rPh sb="4" eb="6">
      <t>ネンド</t>
    </rPh>
    <phoneticPr fontId="2"/>
  </si>
  <si>
    <t>（注）令和元年度は平成31年４月を含む。</t>
    <rPh sb="1" eb="2">
      <t>チュウ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</si>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</sst>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>
      <alignment vertical="center"/>
    </xf>
    <xf numFmtId="38" fontId="1" fillId="0" borderId="1" xfId="1" applyFont="1" applyBorder="1" applyAlignment="1">
      <alignment horizontal="center" vertical="center"/>
    </xf>
    <xf numFmtId="38" fontId="1" fillId="0" borderId="2" xfId="1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0" xfId="0" applyFo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38" fontId="1" fillId="0" borderId="7" xfId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38" fontId="1" fillId="0" borderId="8" xfId="1" applyFont="1" applyBorder="1" applyAlignment="1">
      <alignment horizontal="center" vertical="center"/>
    </xf>
    <xf numFmtId="38" fontId="1" fillId="0" borderId="2" xfId="1" applyFont="1" applyFill="1" applyBorder="1">
      <alignment vertical="center"/>
    </xf>
    <xf numFmtId="38" fontId="1" fillId="0" borderId="7" xfId="1" applyFont="1" applyFill="1" applyBorder="1">
      <alignment vertical="center"/>
    </xf>
    <xf numFmtId="38" fontId="1" fillId="0" borderId="9" xfId="1" applyFont="1" applyFill="1" applyBorder="1">
      <alignment vertical="center"/>
    </xf>
    <xf numFmtId="38" fontId="1" fillId="0" borderId="10" xfId="1" applyFont="1" applyFill="1" applyBorder="1">
      <alignment vertical="center"/>
    </xf>
    <xf numFmtId="38" fontId="1" fillId="0" borderId="11" xfId="1" applyFont="1" applyFill="1" applyBorder="1">
      <alignment vertical="center"/>
    </xf>
    <xf numFmtId="38" fontId="1" fillId="0" borderId="5" xfId="1" applyFont="1" applyFill="1" applyBorder="1">
      <alignment vertical="center"/>
    </xf>
    <xf numFmtId="38" fontId="1" fillId="0" borderId="1" xfId="1" applyFont="1" applyFill="1" applyBorder="1">
      <alignment vertical="center"/>
    </xf>
    <xf numFmtId="38" fontId="1" fillId="0" borderId="4" xfId="1" applyFont="1" applyFill="1" applyBorder="1">
      <alignment vertical="center"/>
    </xf>
    <xf numFmtId="38" fontId="1" fillId="0" borderId="6" xfId="1" applyFont="1" applyFill="1" applyBorder="1">
      <alignment vertical="center"/>
    </xf>
    <xf numFmtId="38" fontId="1" fillId="0" borderId="8" xfId="1" applyFont="1" applyFill="1" applyBorder="1">
      <alignment vertical="center"/>
    </xf>
    <xf numFmtId="38" fontId="1" fillId="0" borderId="12" xfId="1" applyFont="1" applyFill="1" applyBorder="1">
      <alignment vertical="center"/>
    </xf>
    <xf numFmtId="38" fontId="1" fillId="0" borderId="13" xfId="1" applyFont="1" applyFill="1" applyBorder="1">
      <alignment vertical="center"/>
    </xf>
    <xf numFmtId="38" fontId="1" fillId="0" borderId="14" xfId="1" applyFont="1" applyFill="1" applyBorder="1">
      <alignment vertical="center"/>
    </xf>
    <xf numFmtId="38" fontId="1" fillId="0" borderId="3" xfId="1" applyFont="1" applyFill="1" applyBorder="1">
      <alignment vertical="center"/>
    </xf>
    <xf numFmtId="38" fontId="1" fillId="0" borderId="15" xfId="1" applyFont="1" applyFill="1" applyBorder="1">
      <alignment vertical="center"/>
    </xf>
    <xf numFmtId="38" fontId="1" fillId="0" borderId="16" xfId="1" applyFont="1" applyFill="1" applyBorder="1">
      <alignment vertical="center"/>
    </xf>
    <xf numFmtId="38" fontId="1" fillId="0" borderId="17" xfId="1" applyFont="1" applyFill="1" applyBorder="1">
      <alignment vertical="center"/>
    </xf>
    <xf numFmtId="38" fontId="1" fillId="0" borderId="18" xfId="1" applyFont="1" applyFill="1" applyBorder="1">
      <alignment vertical="center"/>
    </xf>
    <xf numFmtId="38" fontId="1" fillId="0" borderId="1" xfId="1" applyFont="1" applyFill="1" applyBorder="1" applyAlignment="1">
      <alignment horizontal="center" vertical="center"/>
    </xf>
    <xf numFmtId="38" fontId="1" fillId="0" borderId="2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19" xfId="1" applyFont="1" applyFill="1" applyBorder="1">
      <alignment vertical="center"/>
    </xf>
    <xf numFmtId="38" fontId="1" fillId="0" borderId="20" xfId="1" applyFont="1" applyFill="1" applyBorder="1">
      <alignment vertical="center"/>
    </xf>
    <xf numFmtId="0" fontId="0" fillId="0" borderId="0" xfId="0" applyFont="1">
      <alignment vertical="center"/>
    </xf>
    <xf numFmtId="38" fontId="0" fillId="0" borderId="16" xfId="1" applyFont="1" applyFill="1" applyBorder="1">
      <alignment vertical="center"/>
    </xf>
    <xf numFmtId="38" fontId="1" fillId="0" borderId="21" xfId="1" applyFont="1" applyFill="1" applyBorder="1">
      <alignment vertical="center"/>
    </xf>
    <xf numFmtId="38" fontId="1" fillId="0" borderId="22" xfId="1" applyFont="1" applyFill="1" applyBorder="1">
      <alignment vertical="center"/>
    </xf>
    <xf numFmtId="38" fontId="1" fillId="2" borderId="9" xfId="1" applyFont="1" applyFill="1" applyBorder="1">
      <alignment vertical="center"/>
    </xf>
    <xf numFmtId="38" fontId="1" fillId="2" borderId="16" xfId="1" applyFont="1" applyFill="1" applyBorder="1">
      <alignment vertical="center"/>
    </xf>
    <xf numFmtId="38" fontId="1" fillId="2" borderId="1" xfId="1" applyFont="1" applyFill="1" applyBorder="1">
      <alignment vertical="center"/>
    </xf>
    <xf numFmtId="0" fontId="1" fillId="0" borderId="9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/>
    </xf>
    <xf numFmtId="38" fontId="1" fillId="0" borderId="19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1" fillId="0" borderId="23" xfId="1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38" fontId="0" fillId="0" borderId="9" xfId="1" applyFont="1" applyFill="1" applyBorder="1" applyAlignment="1">
      <alignment horizontal="center" vertical="center"/>
    </xf>
    <xf numFmtId="38" fontId="1" fillId="0" borderId="5" xfId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8" fontId="0" fillId="0" borderId="19" xfId="1" applyFont="1" applyFill="1" applyBorder="1" applyAlignment="1">
      <alignment horizontal="center" vertical="center"/>
    </xf>
    <xf numFmtId="38" fontId="0" fillId="0" borderId="11" xfId="1" applyFont="1" applyFill="1" applyBorder="1" applyAlignment="1">
      <alignment horizontal="center" vertical="center"/>
    </xf>
    <xf numFmtId="38" fontId="0" fillId="0" borderId="23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30"/>
  <sheetViews>
    <sheetView tabSelected="1" view="pageBreakPreview" zoomScale="90" zoomScaleNormal="120" zoomScaleSheetLayoutView="90" workbookViewId="0">
      <pane xSplit="3" ySplit="4" topLeftCell="L5" activePane="bottomRight" state="frozen"/>
      <selection pane="topRight" activeCell="D1" sqref="D1"/>
      <selection pane="bottomLeft" activeCell="A4" sqref="A4"/>
      <selection pane="bottomRight" activeCell="T29" sqref="T29"/>
    </sheetView>
  </sheetViews>
  <sheetFormatPr defaultColWidth="9" defaultRowHeight="14.4" x14ac:dyDescent="0.2"/>
  <cols>
    <col min="1" max="1" width="1.21875" style="1" customWidth="1"/>
    <col min="2" max="2" width="3.44140625" style="1" customWidth="1"/>
    <col min="3" max="3" width="30.21875" style="1" bestFit="1" customWidth="1"/>
    <col min="4" max="11" width="8.88671875" style="1" hidden="1" customWidth="1"/>
    <col min="12" max="23" width="8.88671875" style="1" customWidth="1"/>
    <col min="24" max="16384" width="9" style="1"/>
  </cols>
  <sheetData>
    <row r="1" spans="2:23" ht="26.25" customHeight="1" x14ac:dyDescent="0.2">
      <c r="B1" s="6"/>
      <c r="C1" s="7"/>
      <c r="D1" s="9"/>
      <c r="E1" s="9"/>
      <c r="F1" s="9"/>
      <c r="G1" s="8"/>
      <c r="H1" s="9"/>
      <c r="I1" s="9"/>
      <c r="J1" s="9"/>
      <c r="K1" s="8"/>
      <c r="L1" s="9"/>
      <c r="M1" s="9"/>
      <c r="N1" s="9"/>
      <c r="O1" s="8"/>
      <c r="P1" s="9"/>
      <c r="Q1" s="9"/>
      <c r="R1" s="9"/>
      <c r="S1" s="8"/>
      <c r="T1" s="9"/>
      <c r="U1" s="9"/>
      <c r="V1" s="9"/>
      <c r="W1" s="8"/>
    </row>
    <row r="2" spans="2:23" ht="26.25" customHeight="1" thickBot="1" x14ac:dyDescent="0.25">
      <c r="B2" s="53" t="s">
        <v>26</v>
      </c>
      <c r="C2" s="53"/>
      <c r="G2" s="8"/>
      <c r="K2" s="8"/>
      <c r="O2" s="8"/>
      <c r="S2" s="8"/>
      <c r="W2" s="8"/>
    </row>
    <row r="3" spans="2:23" ht="23.25" customHeight="1" x14ac:dyDescent="0.2">
      <c r="B3" s="63" t="s">
        <v>0</v>
      </c>
      <c r="C3" s="64"/>
      <c r="D3" s="50" t="s">
        <v>27</v>
      </c>
      <c r="E3" s="51"/>
      <c r="F3" s="51"/>
      <c r="G3" s="52"/>
      <c r="H3" s="67" t="s">
        <v>29</v>
      </c>
      <c r="I3" s="68"/>
      <c r="J3" s="68"/>
      <c r="K3" s="69"/>
      <c r="L3" s="61" t="s">
        <v>30</v>
      </c>
      <c r="M3" s="51"/>
      <c r="N3" s="51"/>
      <c r="O3" s="62"/>
      <c r="P3" s="61" t="s">
        <v>31</v>
      </c>
      <c r="Q3" s="51"/>
      <c r="R3" s="51"/>
      <c r="S3" s="62"/>
      <c r="T3" s="61" t="s">
        <v>32</v>
      </c>
      <c r="U3" s="51"/>
      <c r="V3" s="51"/>
      <c r="W3" s="62"/>
    </row>
    <row r="4" spans="2:23" ht="22.5" customHeight="1" thickBot="1" x14ac:dyDescent="0.25">
      <c r="B4" s="65"/>
      <c r="C4" s="66"/>
      <c r="D4" s="34" t="s">
        <v>23</v>
      </c>
      <c r="E4" s="35" t="s">
        <v>24</v>
      </c>
      <c r="F4" s="36" t="s">
        <v>25</v>
      </c>
      <c r="G4" s="37" t="s">
        <v>1</v>
      </c>
      <c r="H4" s="34" t="s">
        <v>23</v>
      </c>
      <c r="I4" s="35" t="s">
        <v>24</v>
      </c>
      <c r="J4" s="36" t="s">
        <v>25</v>
      </c>
      <c r="K4" s="37" t="s">
        <v>1</v>
      </c>
      <c r="L4" s="2" t="s">
        <v>23</v>
      </c>
      <c r="M4" s="3" t="s">
        <v>24</v>
      </c>
      <c r="N4" s="13" t="s">
        <v>25</v>
      </c>
      <c r="O4" s="15" t="s">
        <v>1</v>
      </c>
      <c r="P4" s="34" t="s">
        <v>23</v>
      </c>
      <c r="Q4" s="35" t="s">
        <v>24</v>
      </c>
      <c r="R4" s="36" t="s">
        <v>25</v>
      </c>
      <c r="S4" s="15" t="s">
        <v>1</v>
      </c>
      <c r="T4" s="34" t="s">
        <v>23</v>
      </c>
      <c r="U4" s="35" t="s">
        <v>24</v>
      </c>
      <c r="V4" s="36" t="s">
        <v>25</v>
      </c>
      <c r="W4" s="15" t="s">
        <v>1</v>
      </c>
    </row>
    <row r="5" spans="2:23" ht="22.5" customHeight="1" x14ac:dyDescent="0.2">
      <c r="B5" s="59" t="s">
        <v>4</v>
      </c>
      <c r="C5" s="60"/>
      <c r="D5" s="38">
        <f>SUM(D17,D25)</f>
        <v>934</v>
      </c>
      <c r="E5" s="39">
        <f>SUM(E17,E25)</f>
        <v>1561</v>
      </c>
      <c r="F5" s="19">
        <f>SUM(F17,F25)</f>
        <v>3065</v>
      </c>
      <c r="G5" s="21">
        <f>SUM(D5:F5)</f>
        <v>5560</v>
      </c>
      <c r="H5" s="38">
        <v>971</v>
      </c>
      <c r="I5" s="39">
        <v>1455</v>
      </c>
      <c r="J5" s="19">
        <v>2342</v>
      </c>
      <c r="K5" s="21">
        <v>4768</v>
      </c>
      <c r="L5" s="38">
        <f>SUM(L17,L25)</f>
        <v>1223</v>
      </c>
      <c r="M5" s="39">
        <f>SUM(M17,M25)</f>
        <v>1641</v>
      </c>
      <c r="N5" s="19">
        <f>SUM(N17,N25)</f>
        <v>1883</v>
      </c>
      <c r="O5" s="21">
        <f>SUM(L5:N5)</f>
        <v>4747</v>
      </c>
      <c r="P5" s="38">
        <f>SUM(P17,P25)</f>
        <v>819</v>
      </c>
      <c r="Q5" s="19">
        <f>SUM(Q17,Q25)</f>
        <v>1446</v>
      </c>
      <c r="R5" s="20">
        <f>SUM(R17,R25)</f>
        <v>1528</v>
      </c>
      <c r="S5" s="21">
        <f>SUM(P5:R5)</f>
        <v>3793</v>
      </c>
      <c r="T5" s="38">
        <f>SUM(T17,T25)</f>
        <v>616</v>
      </c>
      <c r="U5" s="19">
        <f>SUM(U17,U25)</f>
        <v>1661</v>
      </c>
      <c r="V5" s="20">
        <f>SUM(V17,V25)</f>
        <v>1399</v>
      </c>
      <c r="W5" s="21">
        <f>SUM(T5:V5)</f>
        <v>3676</v>
      </c>
    </row>
    <row r="6" spans="2:23" ht="22.5" customHeight="1" thickBot="1" x14ac:dyDescent="0.25">
      <c r="B6" s="4"/>
      <c r="C6" s="10" t="s">
        <v>5</v>
      </c>
      <c r="D6" s="22">
        <f>235+53</f>
        <v>288</v>
      </c>
      <c r="E6" s="16">
        <f>179+31</f>
        <v>210</v>
      </c>
      <c r="F6" s="16">
        <f>951+232</f>
        <v>1183</v>
      </c>
      <c r="G6" s="23">
        <f t="shared" ref="G6:G24" si="0">SUM(D6:F6)</f>
        <v>1681</v>
      </c>
      <c r="H6" s="22">
        <v>189</v>
      </c>
      <c r="I6" s="16">
        <v>281</v>
      </c>
      <c r="J6" s="16">
        <v>528</v>
      </c>
      <c r="K6" s="23">
        <v>998</v>
      </c>
      <c r="L6" s="22">
        <f>L21</f>
        <v>260</v>
      </c>
      <c r="M6" s="16">
        <f>M21</f>
        <v>243</v>
      </c>
      <c r="N6" s="16">
        <f>N21</f>
        <v>668</v>
      </c>
      <c r="O6" s="23">
        <f>SUM(L6:N6)</f>
        <v>1171</v>
      </c>
      <c r="P6" s="22">
        <f>P21</f>
        <v>85</v>
      </c>
      <c r="Q6" s="16">
        <f>Q21</f>
        <v>156</v>
      </c>
      <c r="R6" s="16">
        <f>R21</f>
        <v>429</v>
      </c>
      <c r="S6" s="23">
        <f>SUM(P6:R6)</f>
        <v>670</v>
      </c>
      <c r="T6" s="22">
        <f>T21</f>
        <v>142</v>
      </c>
      <c r="U6" s="16">
        <f>U21</f>
        <v>97</v>
      </c>
      <c r="V6" s="16">
        <f>V21</f>
        <v>246</v>
      </c>
      <c r="W6" s="23">
        <f>SUM(T6:V6)</f>
        <v>485</v>
      </c>
    </row>
    <row r="7" spans="2:23" ht="22.5" customHeight="1" x14ac:dyDescent="0.2">
      <c r="B7" s="47" t="s">
        <v>22</v>
      </c>
      <c r="C7" s="11" t="s">
        <v>6</v>
      </c>
      <c r="D7" s="18">
        <v>18</v>
      </c>
      <c r="E7" s="19">
        <v>25</v>
      </c>
      <c r="F7" s="20">
        <v>62</v>
      </c>
      <c r="G7" s="21">
        <f t="shared" si="0"/>
        <v>105</v>
      </c>
      <c r="H7" s="18">
        <v>9</v>
      </c>
      <c r="I7" s="19">
        <v>28</v>
      </c>
      <c r="J7" s="20">
        <v>32</v>
      </c>
      <c r="K7" s="21">
        <v>69</v>
      </c>
      <c r="L7" s="18">
        <f>1+2</f>
        <v>3</v>
      </c>
      <c r="M7" s="19">
        <v>17</v>
      </c>
      <c r="N7" s="20">
        <v>47</v>
      </c>
      <c r="O7" s="21">
        <f>SUM(L7:N7)</f>
        <v>67</v>
      </c>
      <c r="P7" s="18">
        <v>1</v>
      </c>
      <c r="Q7" s="19">
        <f>32+7</f>
        <v>39</v>
      </c>
      <c r="R7" s="20">
        <f>23+7</f>
        <v>30</v>
      </c>
      <c r="S7" s="21">
        <f>SUM(P7:R7)</f>
        <v>70</v>
      </c>
      <c r="T7" s="44">
        <f>1+2</f>
        <v>3</v>
      </c>
      <c r="U7" s="19">
        <f>7+4+7+6</f>
        <v>24</v>
      </c>
      <c r="V7" s="20">
        <f>7+12+5+2</f>
        <v>26</v>
      </c>
      <c r="W7" s="21">
        <f>SUM(T7:V7)</f>
        <v>53</v>
      </c>
    </row>
    <row r="8" spans="2:23" ht="22.5" customHeight="1" x14ac:dyDescent="0.2">
      <c r="B8" s="48"/>
      <c r="C8" s="12" t="s">
        <v>7</v>
      </c>
      <c r="D8" s="31">
        <v>11</v>
      </c>
      <c r="E8" s="32">
        <v>10</v>
      </c>
      <c r="F8" s="33">
        <v>42</v>
      </c>
      <c r="G8" s="24">
        <f t="shared" si="0"/>
        <v>63</v>
      </c>
      <c r="H8" s="31">
        <v>6</v>
      </c>
      <c r="I8" s="32">
        <v>8</v>
      </c>
      <c r="J8" s="33">
        <v>40</v>
      </c>
      <c r="K8" s="24">
        <v>54</v>
      </c>
      <c r="L8" s="31">
        <v>2</v>
      </c>
      <c r="M8" s="32">
        <v>14</v>
      </c>
      <c r="N8" s="33">
        <v>19</v>
      </c>
      <c r="O8" s="24">
        <f t="shared" ref="O8:O16" si="1">SUM(L8:N8)</f>
        <v>35</v>
      </c>
      <c r="P8" s="31">
        <v>1</v>
      </c>
      <c r="Q8" s="32">
        <f>11+4</f>
        <v>15</v>
      </c>
      <c r="R8" s="33">
        <v>2</v>
      </c>
      <c r="S8" s="24">
        <f t="shared" ref="S8:S16" si="2">SUM(P8:R8)</f>
        <v>18</v>
      </c>
      <c r="T8" s="45">
        <f>2+1</f>
        <v>3</v>
      </c>
      <c r="U8" s="32">
        <f>2+2</f>
        <v>4</v>
      </c>
      <c r="V8" s="33">
        <v>0</v>
      </c>
      <c r="W8" s="24">
        <f t="shared" ref="W8:W16" si="3">SUM(T8:V8)</f>
        <v>7</v>
      </c>
    </row>
    <row r="9" spans="2:23" ht="22.5" customHeight="1" x14ac:dyDescent="0.2">
      <c r="B9" s="48"/>
      <c r="C9" s="12" t="s">
        <v>8</v>
      </c>
      <c r="D9" s="31">
        <v>5</v>
      </c>
      <c r="E9" s="32">
        <v>2</v>
      </c>
      <c r="F9" s="33">
        <v>11</v>
      </c>
      <c r="G9" s="24">
        <f t="shared" si="0"/>
        <v>18</v>
      </c>
      <c r="H9" s="31">
        <v>3</v>
      </c>
      <c r="I9" s="32">
        <v>4</v>
      </c>
      <c r="J9" s="33">
        <v>11</v>
      </c>
      <c r="K9" s="24">
        <v>18</v>
      </c>
      <c r="L9" s="31">
        <v>3</v>
      </c>
      <c r="M9" s="32">
        <v>2</v>
      </c>
      <c r="N9" s="33">
        <f>5+2+1</f>
        <v>8</v>
      </c>
      <c r="O9" s="24">
        <f t="shared" si="1"/>
        <v>13</v>
      </c>
      <c r="P9" s="31">
        <v>1</v>
      </c>
      <c r="Q9" s="32">
        <f>2+3</f>
        <v>5</v>
      </c>
      <c r="R9" s="33">
        <f>2+2</f>
        <v>4</v>
      </c>
      <c r="S9" s="24">
        <f t="shared" si="2"/>
        <v>10</v>
      </c>
      <c r="T9" s="45">
        <v>0</v>
      </c>
      <c r="U9" s="32">
        <f>1+2</f>
        <v>3</v>
      </c>
      <c r="V9" s="33">
        <v>1</v>
      </c>
      <c r="W9" s="24">
        <f t="shared" si="3"/>
        <v>4</v>
      </c>
    </row>
    <row r="10" spans="2:23" ht="22.5" customHeight="1" x14ac:dyDescent="0.2">
      <c r="B10" s="48"/>
      <c r="C10" s="12" t="s">
        <v>9</v>
      </c>
      <c r="D10" s="31">
        <v>0</v>
      </c>
      <c r="E10" s="32">
        <v>0</v>
      </c>
      <c r="F10" s="33">
        <v>4</v>
      </c>
      <c r="G10" s="24">
        <f t="shared" si="0"/>
        <v>4</v>
      </c>
      <c r="H10" s="31">
        <v>0</v>
      </c>
      <c r="I10" s="32">
        <v>0</v>
      </c>
      <c r="J10" s="33">
        <v>0</v>
      </c>
      <c r="K10" s="24">
        <v>0</v>
      </c>
      <c r="L10" s="31">
        <v>0</v>
      </c>
      <c r="M10" s="32">
        <v>0</v>
      </c>
      <c r="N10" s="33">
        <v>0</v>
      </c>
      <c r="O10" s="24">
        <f t="shared" si="1"/>
        <v>0</v>
      </c>
      <c r="P10" s="31">
        <v>0</v>
      </c>
      <c r="Q10" s="32">
        <v>0</v>
      </c>
      <c r="R10" s="33">
        <v>0</v>
      </c>
      <c r="S10" s="24">
        <f t="shared" si="2"/>
        <v>0</v>
      </c>
      <c r="T10" s="45">
        <v>0</v>
      </c>
      <c r="U10" s="32">
        <v>1</v>
      </c>
      <c r="V10" s="33">
        <v>0</v>
      </c>
      <c r="W10" s="24">
        <f t="shared" si="3"/>
        <v>1</v>
      </c>
    </row>
    <row r="11" spans="2:23" ht="22.5" customHeight="1" x14ac:dyDescent="0.2">
      <c r="B11" s="48"/>
      <c r="C11" s="12" t="s">
        <v>10</v>
      </c>
      <c r="D11" s="31">
        <v>0</v>
      </c>
      <c r="E11" s="32">
        <v>11</v>
      </c>
      <c r="F11" s="33">
        <v>14</v>
      </c>
      <c r="G11" s="24">
        <f t="shared" si="0"/>
        <v>25</v>
      </c>
      <c r="H11" s="31">
        <v>0</v>
      </c>
      <c r="I11" s="32">
        <v>6</v>
      </c>
      <c r="J11" s="33">
        <v>14</v>
      </c>
      <c r="K11" s="24">
        <v>20</v>
      </c>
      <c r="L11" s="31">
        <v>0</v>
      </c>
      <c r="M11" s="32">
        <v>6</v>
      </c>
      <c r="N11" s="33">
        <v>20</v>
      </c>
      <c r="O11" s="24">
        <f t="shared" si="1"/>
        <v>26</v>
      </c>
      <c r="P11" s="31">
        <v>0</v>
      </c>
      <c r="Q11" s="32">
        <v>6</v>
      </c>
      <c r="R11" s="33">
        <f>2+3</f>
        <v>5</v>
      </c>
      <c r="S11" s="24">
        <f t="shared" si="2"/>
        <v>11</v>
      </c>
      <c r="T11" s="45">
        <f>0+1</f>
        <v>1</v>
      </c>
      <c r="U11" s="32">
        <f>1+1+1</f>
        <v>3</v>
      </c>
      <c r="V11" s="33">
        <f>2+1</f>
        <v>3</v>
      </c>
      <c r="W11" s="24">
        <f t="shared" si="3"/>
        <v>7</v>
      </c>
    </row>
    <row r="12" spans="2:23" ht="22.5" customHeight="1" x14ac:dyDescent="0.2">
      <c r="B12" s="48"/>
      <c r="C12" s="12" t="s">
        <v>18</v>
      </c>
      <c r="D12" s="31">
        <v>0</v>
      </c>
      <c r="E12" s="32">
        <v>0</v>
      </c>
      <c r="F12" s="33">
        <v>1</v>
      </c>
      <c r="G12" s="24">
        <f t="shared" si="0"/>
        <v>1</v>
      </c>
      <c r="H12" s="31">
        <v>0</v>
      </c>
      <c r="I12" s="32">
        <v>2</v>
      </c>
      <c r="J12" s="33">
        <v>0</v>
      </c>
      <c r="K12" s="24">
        <v>2</v>
      </c>
      <c r="L12" s="31">
        <v>0</v>
      </c>
      <c r="M12" s="32">
        <v>0</v>
      </c>
      <c r="N12" s="33">
        <v>1</v>
      </c>
      <c r="O12" s="24">
        <f t="shared" si="1"/>
        <v>1</v>
      </c>
      <c r="P12" s="31">
        <v>0</v>
      </c>
      <c r="Q12" s="32">
        <v>1</v>
      </c>
      <c r="R12" s="33">
        <v>0</v>
      </c>
      <c r="S12" s="24">
        <f t="shared" si="2"/>
        <v>1</v>
      </c>
      <c r="T12" s="45">
        <v>0</v>
      </c>
      <c r="U12" s="32">
        <v>0</v>
      </c>
      <c r="V12" s="33">
        <v>0</v>
      </c>
      <c r="W12" s="24">
        <f t="shared" si="3"/>
        <v>0</v>
      </c>
    </row>
    <row r="13" spans="2:23" ht="22.5" customHeight="1" x14ac:dyDescent="0.2">
      <c r="B13" s="48"/>
      <c r="C13" s="12" t="s">
        <v>11</v>
      </c>
      <c r="D13" s="31">
        <v>0</v>
      </c>
      <c r="E13" s="32">
        <v>0</v>
      </c>
      <c r="F13" s="33">
        <v>5</v>
      </c>
      <c r="G13" s="24">
        <f t="shared" si="0"/>
        <v>5</v>
      </c>
      <c r="H13" s="41">
        <v>0</v>
      </c>
      <c r="I13" s="32">
        <v>5</v>
      </c>
      <c r="J13" s="33">
        <v>4</v>
      </c>
      <c r="K13" s="24">
        <v>9</v>
      </c>
      <c r="L13" s="31">
        <v>1</v>
      </c>
      <c r="M13" s="32">
        <v>1</v>
      </c>
      <c r="N13" s="33">
        <v>3</v>
      </c>
      <c r="O13" s="24">
        <f t="shared" si="1"/>
        <v>5</v>
      </c>
      <c r="P13" s="31">
        <v>0</v>
      </c>
      <c r="Q13" s="32">
        <v>0</v>
      </c>
      <c r="R13" s="33">
        <v>0</v>
      </c>
      <c r="S13" s="24">
        <f t="shared" si="2"/>
        <v>0</v>
      </c>
      <c r="T13" s="45">
        <v>0</v>
      </c>
      <c r="U13" s="32">
        <f>2+1+1</f>
        <v>4</v>
      </c>
      <c r="V13" s="33">
        <v>0</v>
      </c>
      <c r="W13" s="24">
        <f t="shared" si="3"/>
        <v>4</v>
      </c>
    </row>
    <row r="14" spans="2:23" ht="22.5" customHeight="1" x14ac:dyDescent="0.2">
      <c r="B14" s="48"/>
      <c r="C14" s="12" t="s">
        <v>12</v>
      </c>
      <c r="D14" s="31">
        <v>2</v>
      </c>
      <c r="E14" s="32">
        <v>1</v>
      </c>
      <c r="F14" s="33">
        <v>1</v>
      </c>
      <c r="G14" s="24">
        <f t="shared" si="0"/>
        <v>4</v>
      </c>
      <c r="H14" s="31">
        <v>0</v>
      </c>
      <c r="I14" s="32">
        <v>0</v>
      </c>
      <c r="J14" s="33">
        <v>1</v>
      </c>
      <c r="K14" s="24">
        <v>1</v>
      </c>
      <c r="L14" s="31">
        <v>0</v>
      </c>
      <c r="M14" s="32">
        <v>0</v>
      </c>
      <c r="N14" s="33">
        <v>0</v>
      </c>
      <c r="O14" s="24">
        <f t="shared" si="1"/>
        <v>0</v>
      </c>
      <c r="P14" s="31">
        <v>0</v>
      </c>
      <c r="Q14" s="32">
        <v>0</v>
      </c>
      <c r="R14" s="33">
        <v>0</v>
      </c>
      <c r="S14" s="24">
        <f t="shared" si="2"/>
        <v>0</v>
      </c>
      <c r="T14" s="45">
        <v>0</v>
      </c>
      <c r="U14" s="32">
        <v>1</v>
      </c>
      <c r="V14" s="33">
        <v>0</v>
      </c>
      <c r="W14" s="24">
        <f t="shared" si="3"/>
        <v>1</v>
      </c>
    </row>
    <row r="15" spans="2:23" ht="22.5" customHeight="1" x14ac:dyDescent="0.2">
      <c r="B15" s="48"/>
      <c r="C15" s="12" t="s">
        <v>13</v>
      </c>
      <c r="D15" s="31">
        <v>103</v>
      </c>
      <c r="E15" s="32">
        <v>4</v>
      </c>
      <c r="F15" s="33">
        <v>52</v>
      </c>
      <c r="G15" s="24">
        <f t="shared" si="0"/>
        <v>159</v>
      </c>
      <c r="H15" s="31">
        <v>37</v>
      </c>
      <c r="I15" s="32">
        <v>2</v>
      </c>
      <c r="J15" s="33">
        <v>27</v>
      </c>
      <c r="K15" s="24">
        <v>66</v>
      </c>
      <c r="L15" s="31">
        <v>27</v>
      </c>
      <c r="M15" s="32">
        <v>3</v>
      </c>
      <c r="N15" s="33">
        <f>5+2+1</f>
        <v>8</v>
      </c>
      <c r="O15" s="24">
        <f t="shared" si="1"/>
        <v>38</v>
      </c>
      <c r="P15" s="31">
        <v>13</v>
      </c>
      <c r="Q15" s="32">
        <f>5+3</f>
        <v>8</v>
      </c>
      <c r="R15" s="33">
        <f>6+3</f>
        <v>9</v>
      </c>
      <c r="S15" s="24">
        <f t="shared" si="2"/>
        <v>30</v>
      </c>
      <c r="T15" s="45">
        <v>3</v>
      </c>
      <c r="U15" s="32">
        <f>1+1</f>
        <v>2</v>
      </c>
      <c r="V15" s="33">
        <f>1+1</f>
        <v>2</v>
      </c>
      <c r="W15" s="24">
        <f t="shared" si="3"/>
        <v>7</v>
      </c>
    </row>
    <row r="16" spans="2:23" ht="22.5" customHeight="1" thickBot="1" x14ac:dyDescent="0.25">
      <c r="B16" s="49"/>
      <c r="C16" s="10" t="s">
        <v>14</v>
      </c>
      <c r="D16" s="22">
        <v>3</v>
      </c>
      <c r="E16" s="16">
        <v>65</v>
      </c>
      <c r="F16" s="17">
        <v>208</v>
      </c>
      <c r="G16" s="25">
        <f t="shared" si="0"/>
        <v>276</v>
      </c>
      <c r="H16" s="22">
        <v>7</v>
      </c>
      <c r="I16" s="16">
        <v>60</v>
      </c>
      <c r="J16" s="17">
        <v>210</v>
      </c>
      <c r="K16" s="25">
        <v>277</v>
      </c>
      <c r="L16" s="22">
        <v>27</v>
      </c>
      <c r="M16" s="16">
        <v>64</v>
      </c>
      <c r="N16" s="17">
        <v>122</v>
      </c>
      <c r="O16" s="25">
        <f t="shared" si="1"/>
        <v>213</v>
      </c>
      <c r="P16" s="22">
        <v>16</v>
      </c>
      <c r="Q16" s="16">
        <f>57+6</f>
        <v>63</v>
      </c>
      <c r="R16" s="17">
        <f>33+14</f>
        <v>47</v>
      </c>
      <c r="S16" s="25">
        <f t="shared" si="2"/>
        <v>126</v>
      </c>
      <c r="T16" s="46">
        <f>2+4+1+1</f>
        <v>8</v>
      </c>
      <c r="U16" s="16">
        <f>20+16+20+18</f>
        <v>74</v>
      </c>
      <c r="V16" s="17">
        <f>16+9+9+6</f>
        <v>40</v>
      </c>
      <c r="W16" s="25">
        <f t="shared" si="3"/>
        <v>122</v>
      </c>
    </row>
    <row r="17" spans="2:23" ht="22.5" customHeight="1" thickBot="1" x14ac:dyDescent="0.25">
      <c r="B17" s="55" t="s">
        <v>2</v>
      </c>
      <c r="C17" s="56"/>
      <c r="D17" s="26">
        <f>SUM(D7:D16)</f>
        <v>142</v>
      </c>
      <c r="E17" s="27">
        <f>SUM(E7:E16)</f>
        <v>118</v>
      </c>
      <c r="F17" s="27">
        <f>SUM(F7:F16)</f>
        <v>400</v>
      </c>
      <c r="G17" s="28">
        <f t="shared" si="0"/>
        <v>660</v>
      </c>
      <c r="H17" s="26">
        <v>62</v>
      </c>
      <c r="I17" s="27">
        <v>115</v>
      </c>
      <c r="J17" s="27">
        <v>339</v>
      </c>
      <c r="K17" s="28">
        <v>516</v>
      </c>
      <c r="L17" s="26">
        <f>SUM(L7:L16)</f>
        <v>63</v>
      </c>
      <c r="M17" s="27">
        <f>SUM(M7:M16)</f>
        <v>107</v>
      </c>
      <c r="N17" s="27">
        <f>SUM(N7:N16)</f>
        <v>228</v>
      </c>
      <c r="O17" s="28">
        <f>SUM(L17:N17)</f>
        <v>398</v>
      </c>
      <c r="P17" s="26">
        <f>SUM(P7:P16)</f>
        <v>32</v>
      </c>
      <c r="Q17" s="27">
        <f>SUM(Q7:Q16)</f>
        <v>137</v>
      </c>
      <c r="R17" s="27">
        <f>SUM(R7:R16)</f>
        <v>97</v>
      </c>
      <c r="S17" s="28">
        <f t="shared" ref="S17:S24" si="4">SUM(P17:R17)</f>
        <v>266</v>
      </c>
      <c r="T17" s="26">
        <f>SUM(T7:T16)</f>
        <v>18</v>
      </c>
      <c r="U17" s="27">
        <f>SUM(U7:U16)</f>
        <v>116</v>
      </c>
      <c r="V17" s="27">
        <f>SUM(V7:V16)</f>
        <v>72</v>
      </c>
      <c r="W17" s="28">
        <f t="shared" ref="W17:W24" si="5">SUM(T17:V17)</f>
        <v>206</v>
      </c>
    </row>
    <row r="18" spans="2:23" ht="22.5" customHeight="1" x14ac:dyDescent="0.2">
      <c r="B18" s="47" t="s">
        <v>21</v>
      </c>
      <c r="C18" s="11" t="s">
        <v>20</v>
      </c>
      <c r="D18" s="18">
        <v>28</v>
      </c>
      <c r="E18" s="19">
        <v>18</v>
      </c>
      <c r="F18" s="20">
        <v>217</v>
      </c>
      <c r="G18" s="24">
        <f t="shared" si="0"/>
        <v>263</v>
      </c>
      <c r="H18" s="18">
        <v>12</v>
      </c>
      <c r="I18" s="19">
        <v>63</v>
      </c>
      <c r="J18" s="20">
        <v>135</v>
      </c>
      <c r="K18" s="24">
        <v>210</v>
      </c>
      <c r="L18" s="18">
        <v>21</v>
      </c>
      <c r="M18" s="19">
        <v>48</v>
      </c>
      <c r="N18" s="20">
        <v>93</v>
      </c>
      <c r="O18" s="24">
        <f>SUM(L18:N18)</f>
        <v>162</v>
      </c>
      <c r="P18" s="18">
        <v>2</v>
      </c>
      <c r="Q18" s="19">
        <f>150+78</f>
        <v>228</v>
      </c>
      <c r="R18" s="20">
        <f>99+37</f>
        <v>136</v>
      </c>
      <c r="S18" s="24">
        <f t="shared" si="4"/>
        <v>366</v>
      </c>
      <c r="T18" s="44">
        <f>5+1+2</f>
        <v>8</v>
      </c>
      <c r="U18" s="19">
        <f>74+77+80+91</f>
        <v>322</v>
      </c>
      <c r="V18" s="20">
        <f>32+27+16+14</f>
        <v>89</v>
      </c>
      <c r="W18" s="24">
        <f>SUM(T18:V18)</f>
        <v>419</v>
      </c>
    </row>
    <row r="19" spans="2:23" ht="22.5" customHeight="1" x14ac:dyDescent="0.2">
      <c r="B19" s="48"/>
      <c r="C19" s="12" t="s">
        <v>8</v>
      </c>
      <c r="D19" s="31">
        <v>17</v>
      </c>
      <c r="E19" s="32">
        <v>26</v>
      </c>
      <c r="F19" s="33">
        <v>12</v>
      </c>
      <c r="G19" s="24">
        <f t="shared" si="0"/>
        <v>55</v>
      </c>
      <c r="H19" s="31">
        <v>12</v>
      </c>
      <c r="I19" s="32">
        <v>19</v>
      </c>
      <c r="J19" s="33">
        <v>19</v>
      </c>
      <c r="K19" s="24">
        <v>50</v>
      </c>
      <c r="L19" s="31">
        <v>9</v>
      </c>
      <c r="M19" s="32">
        <v>15</v>
      </c>
      <c r="N19" s="33">
        <v>15</v>
      </c>
      <c r="O19" s="24">
        <f t="shared" ref="O19:O24" si="6">SUM(L19:N19)</f>
        <v>39</v>
      </c>
      <c r="P19" s="31">
        <v>3</v>
      </c>
      <c r="Q19" s="32">
        <f>10+1</f>
        <v>11</v>
      </c>
      <c r="R19" s="33">
        <f>14+2</f>
        <v>16</v>
      </c>
      <c r="S19" s="24">
        <f t="shared" si="4"/>
        <v>30</v>
      </c>
      <c r="T19" s="45">
        <f>4+3+1</f>
        <v>8</v>
      </c>
      <c r="U19" s="32">
        <f>2+5+1+3</f>
        <v>11</v>
      </c>
      <c r="V19" s="33">
        <f>4+4+3+7</f>
        <v>18</v>
      </c>
      <c r="W19" s="24">
        <f t="shared" si="5"/>
        <v>37</v>
      </c>
    </row>
    <row r="20" spans="2:23" ht="22.5" customHeight="1" x14ac:dyDescent="0.2">
      <c r="B20" s="48"/>
      <c r="C20" s="12" t="s">
        <v>15</v>
      </c>
      <c r="D20" s="31">
        <v>174</v>
      </c>
      <c r="E20" s="32">
        <v>201</v>
      </c>
      <c r="F20" s="33">
        <v>85</v>
      </c>
      <c r="G20" s="24">
        <f t="shared" si="0"/>
        <v>460</v>
      </c>
      <c r="H20" s="31">
        <v>123</v>
      </c>
      <c r="I20" s="32">
        <v>53</v>
      </c>
      <c r="J20" s="33">
        <v>45</v>
      </c>
      <c r="K20" s="24">
        <v>221</v>
      </c>
      <c r="L20" s="31">
        <v>179</v>
      </c>
      <c r="M20" s="32">
        <v>64</v>
      </c>
      <c r="N20" s="33">
        <v>48</v>
      </c>
      <c r="O20" s="24">
        <f t="shared" si="6"/>
        <v>291</v>
      </c>
      <c r="P20" s="31">
        <v>171</v>
      </c>
      <c r="Q20" s="32">
        <f>50+13</f>
        <v>63</v>
      </c>
      <c r="R20" s="33">
        <f>19+8+9</f>
        <v>36</v>
      </c>
      <c r="S20" s="24">
        <f t="shared" si="4"/>
        <v>270</v>
      </c>
      <c r="T20" s="45">
        <f>27+7+3+8</f>
        <v>45</v>
      </c>
      <c r="U20" s="32">
        <f>5+3+2+9</f>
        <v>19</v>
      </c>
      <c r="V20" s="33">
        <f>21+16+21+17</f>
        <v>75</v>
      </c>
      <c r="W20" s="24">
        <f t="shared" si="5"/>
        <v>139</v>
      </c>
    </row>
    <row r="21" spans="2:23" ht="22.5" customHeight="1" x14ac:dyDescent="0.2">
      <c r="B21" s="48"/>
      <c r="C21" s="12" t="s">
        <v>19</v>
      </c>
      <c r="D21" s="31">
        <v>252</v>
      </c>
      <c r="E21" s="32">
        <v>359</v>
      </c>
      <c r="F21" s="33">
        <v>1010</v>
      </c>
      <c r="G21" s="24">
        <f t="shared" si="0"/>
        <v>1621</v>
      </c>
      <c r="H21" s="31">
        <v>189</v>
      </c>
      <c r="I21" s="32">
        <v>281</v>
      </c>
      <c r="J21" s="33">
        <v>528</v>
      </c>
      <c r="K21" s="24">
        <v>998</v>
      </c>
      <c r="L21" s="31">
        <v>260</v>
      </c>
      <c r="M21" s="32">
        <v>243</v>
      </c>
      <c r="N21" s="33">
        <v>668</v>
      </c>
      <c r="O21" s="24">
        <f t="shared" si="6"/>
        <v>1171</v>
      </c>
      <c r="P21" s="31">
        <v>85</v>
      </c>
      <c r="Q21" s="32">
        <f>128+28</f>
        <v>156</v>
      </c>
      <c r="R21" s="33">
        <f>373+56</f>
        <v>429</v>
      </c>
      <c r="S21" s="24">
        <f t="shared" si="4"/>
        <v>670</v>
      </c>
      <c r="T21" s="45">
        <f>5+40+34+63</f>
        <v>142</v>
      </c>
      <c r="U21" s="32">
        <f>35+24+21+17</f>
        <v>97</v>
      </c>
      <c r="V21" s="33">
        <f>73+47+61+65</f>
        <v>246</v>
      </c>
      <c r="W21" s="24">
        <f t="shared" si="5"/>
        <v>485</v>
      </c>
    </row>
    <row r="22" spans="2:23" ht="22.5" customHeight="1" x14ac:dyDescent="0.2">
      <c r="B22" s="48"/>
      <c r="C22" s="12" t="s">
        <v>16</v>
      </c>
      <c r="D22" s="31">
        <v>4</v>
      </c>
      <c r="E22" s="32">
        <v>4</v>
      </c>
      <c r="F22" s="33">
        <v>1</v>
      </c>
      <c r="G22" s="24">
        <f t="shared" si="0"/>
        <v>9</v>
      </c>
      <c r="H22" s="31">
        <v>1</v>
      </c>
      <c r="I22" s="32">
        <v>6</v>
      </c>
      <c r="J22" s="33">
        <v>3</v>
      </c>
      <c r="K22" s="24">
        <v>10</v>
      </c>
      <c r="L22" s="31">
        <v>27</v>
      </c>
      <c r="M22" s="32">
        <v>5</v>
      </c>
      <c r="N22" s="33">
        <f>0+3</f>
        <v>3</v>
      </c>
      <c r="O22" s="24">
        <f t="shared" si="6"/>
        <v>35</v>
      </c>
      <c r="P22" s="31">
        <v>27</v>
      </c>
      <c r="Q22" s="32">
        <v>0</v>
      </c>
      <c r="R22" s="33">
        <f>2+3</f>
        <v>5</v>
      </c>
      <c r="S22" s="24">
        <f t="shared" si="4"/>
        <v>32</v>
      </c>
      <c r="T22" s="45">
        <f>1+1</f>
        <v>2</v>
      </c>
      <c r="U22" s="32">
        <f>0+2+1</f>
        <v>3</v>
      </c>
      <c r="V22" s="33">
        <v>0</v>
      </c>
      <c r="W22" s="24">
        <f t="shared" si="5"/>
        <v>5</v>
      </c>
    </row>
    <row r="23" spans="2:23" ht="22.5" customHeight="1" x14ac:dyDescent="0.2">
      <c r="B23" s="48"/>
      <c r="C23" s="12" t="s">
        <v>17</v>
      </c>
      <c r="D23" s="31">
        <v>184</v>
      </c>
      <c r="E23" s="32">
        <v>65</v>
      </c>
      <c r="F23" s="33">
        <v>286</v>
      </c>
      <c r="G23" s="24">
        <f t="shared" si="0"/>
        <v>535</v>
      </c>
      <c r="H23" s="31">
        <v>188</v>
      </c>
      <c r="I23" s="32">
        <v>94</v>
      </c>
      <c r="J23" s="33">
        <v>275</v>
      </c>
      <c r="K23" s="24">
        <v>557</v>
      </c>
      <c r="L23" s="31">
        <v>228</v>
      </c>
      <c r="M23" s="32">
        <v>80</v>
      </c>
      <c r="N23" s="33">
        <v>261</v>
      </c>
      <c r="O23" s="24">
        <f t="shared" si="6"/>
        <v>569</v>
      </c>
      <c r="P23" s="31">
        <v>185</v>
      </c>
      <c r="Q23" s="32">
        <f>93+7</f>
        <v>100</v>
      </c>
      <c r="R23" s="33">
        <f>171+32</f>
        <v>203</v>
      </c>
      <c r="S23" s="24">
        <f t="shared" si="4"/>
        <v>488</v>
      </c>
      <c r="T23" s="45">
        <f>24+11+9+8</f>
        <v>52</v>
      </c>
      <c r="U23" s="32">
        <f>15+6+8+16</f>
        <v>45</v>
      </c>
      <c r="V23" s="33">
        <f>49+26+31+32</f>
        <v>138</v>
      </c>
      <c r="W23" s="24">
        <f t="shared" si="5"/>
        <v>235</v>
      </c>
    </row>
    <row r="24" spans="2:23" ht="22.5" customHeight="1" thickBot="1" x14ac:dyDescent="0.25">
      <c r="B24" s="49"/>
      <c r="C24" s="10" t="s">
        <v>14</v>
      </c>
      <c r="D24" s="22">
        <v>133</v>
      </c>
      <c r="E24" s="16">
        <v>770</v>
      </c>
      <c r="F24" s="17">
        <v>1054</v>
      </c>
      <c r="G24" s="25">
        <f t="shared" si="0"/>
        <v>1957</v>
      </c>
      <c r="H24" s="22">
        <v>384</v>
      </c>
      <c r="I24" s="16">
        <v>824</v>
      </c>
      <c r="J24" s="17">
        <v>998</v>
      </c>
      <c r="K24" s="25">
        <v>2206</v>
      </c>
      <c r="L24" s="22">
        <v>436</v>
      </c>
      <c r="M24" s="16">
        <v>1079</v>
      </c>
      <c r="N24" s="17">
        <v>567</v>
      </c>
      <c r="O24" s="25">
        <f t="shared" si="6"/>
        <v>2082</v>
      </c>
      <c r="P24" s="22">
        <v>314</v>
      </c>
      <c r="Q24" s="16">
        <f>748+3</f>
        <v>751</v>
      </c>
      <c r="R24" s="17">
        <f>488+118</f>
        <v>606</v>
      </c>
      <c r="S24" s="25">
        <f t="shared" si="4"/>
        <v>1671</v>
      </c>
      <c r="T24" s="46">
        <f>66+68+109+98</f>
        <v>341</v>
      </c>
      <c r="U24" s="16">
        <f>306+254+1+277+3+207</f>
        <v>1048</v>
      </c>
      <c r="V24" s="17">
        <f>249+177+1+138+1+195</f>
        <v>761</v>
      </c>
      <c r="W24" s="25">
        <f t="shared" si="5"/>
        <v>2150</v>
      </c>
    </row>
    <row r="25" spans="2:23" ht="22.5" customHeight="1" thickBot="1" x14ac:dyDescent="0.25">
      <c r="B25" s="57" t="s">
        <v>3</v>
      </c>
      <c r="C25" s="58"/>
      <c r="D25" s="29">
        <f>SUM(D18:D24)</f>
        <v>792</v>
      </c>
      <c r="E25" s="30">
        <f>SUM(E18:E24)</f>
        <v>1443</v>
      </c>
      <c r="F25" s="30">
        <f>SUM(F18:F24)</f>
        <v>2665</v>
      </c>
      <c r="G25" s="28">
        <f>SUM(G18:G24)</f>
        <v>4900</v>
      </c>
      <c r="H25" s="29">
        <v>909</v>
      </c>
      <c r="I25" s="30">
        <v>1340</v>
      </c>
      <c r="J25" s="30">
        <v>2003</v>
      </c>
      <c r="K25" s="28">
        <v>4252</v>
      </c>
      <c r="L25" s="29">
        <f t="shared" ref="L25:S25" si="7">SUM(L18:L24)</f>
        <v>1160</v>
      </c>
      <c r="M25" s="30">
        <f t="shared" si="7"/>
        <v>1534</v>
      </c>
      <c r="N25" s="30">
        <f t="shared" si="7"/>
        <v>1655</v>
      </c>
      <c r="O25" s="28">
        <f t="shared" si="7"/>
        <v>4349</v>
      </c>
      <c r="P25" s="43">
        <f>SUM(P18:P24)</f>
        <v>787</v>
      </c>
      <c r="Q25" s="42">
        <f>SUM(Q18:Q24)</f>
        <v>1309</v>
      </c>
      <c r="R25" s="27">
        <f>SUM(R18:R24)</f>
        <v>1431</v>
      </c>
      <c r="S25" s="28">
        <f t="shared" si="7"/>
        <v>3527</v>
      </c>
      <c r="T25" s="43">
        <f>SUM(T18:T24)</f>
        <v>598</v>
      </c>
      <c r="U25" s="42">
        <f>SUM(U18:U24)</f>
        <v>1545</v>
      </c>
      <c r="V25" s="27">
        <f>SUM(V18:V24)</f>
        <v>1327</v>
      </c>
      <c r="W25" s="28">
        <f>SUM(W18:W24)</f>
        <v>3470</v>
      </c>
    </row>
    <row r="26" spans="2:23" ht="8.25" customHeight="1" x14ac:dyDescent="0.2"/>
    <row r="27" spans="2:23" ht="17.25" customHeight="1" x14ac:dyDescent="0.2">
      <c r="B27" s="40" t="s">
        <v>28</v>
      </c>
    </row>
    <row r="28" spans="2:23" ht="17.25" customHeight="1" x14ac:dyDescent="0.2">
      <c r="B28" s="54"/>
      <c r="C28" s="5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2:23" ht="17.25" customHeight="1" x14ac:dyDescent="0.2">
      <c r="B29" s="54"/>
      <c r="C29" s="5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2:23" x14ac:dyDescent="0.2">
      <c r="C30" s="5"/>
    </row>
  </sheetData>
  <mergeCells count="14">
    <mergeCell ref="T3:W3"/>
    <mergeCell ref="P3:S3"/>
    <mergeCell ref="B3:C4"/>
    <mergeCell ref="H3:K3"/>
    <mergeCell ref="L3:O3"/>
    <mergeCell ref="B18:B24"/>
    <mergeCell ref="D3:G3"/>
    <mergeCell ref="B2:C2"/>
    <mergeCell ref="B29:C29"/>
    <mergeCell ref="B28:C28"/>
    <mergeCell ref="B17:C17"/>
    <mergeCell ref="B25:C25"/>
    <mergeCell ref="B5:C5"/>
    <mergeCell ref="B7:B16"/>
  </mergeCells>
  <phoneticPr fontId="2"/>
  <printOptions horizontalCentered="1"/>
  <pageMargins left="0.27559055118110237" right="0.35433070866141736" top="0.6692913385826772" bottom="0.19685039370078741" header="0.51181102362204722" footer="0.27559055118110237"/>
  <pageSetup paperSize="9" scale="91" orientation="landscape" r:id="rId1"/>
  <headerFooter alignWithMargins="0">
    <oddFooter>&amp;C&amp;10 &amp;12 19</oddFooter>
  </headerFooter>
  <colBreaks count="1" manualBreakCount="1">
    <brk id="19" max="28" man="1"/>
  </colBreaks>
  <ignoredErrors>
    <ignoredError sqref="S8:S9 S10:S16 S20:S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頁付</vt:lpstr>
      <vt:lpstr>頁付!Print_Area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2014-08-26T06:40:37Z</dcterms:created>
  <dcterms:modified xsi:type="dcterms:W3CDTF">2023-11-02T02:09:55Z</dcterms:modified>
</cp:coreProperties>
</file>